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&gt;Valor Micro ônibus" sheetId="1" r:id="rId1"/>
  </sheets>
  <definedNames/>
  <calcPr fullCalcOnLoad="1"/>
</workbook>
</file>

<file path=xl/sharedStrings.xml><?xml version="1.0" encoding="utf-8"?>
<sst xmlns="http://schemas.openxmlformats.org/spreadsheetml/2006/main" count="128" uniqueCount="107">
  <si>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</si>
  <si>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</si>
  <si>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</si>
  <si>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</si>
  <si>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</si>
  <si>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</si>
  <si>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</si>
  <si>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</si>
  <si>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</si>
  <si>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</si>
  <si>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</si>
  <si>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</si>
  <si>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</si>
  <si>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</si>
  <si>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</si>
  <si>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Lubrificantes</t>
  </si>
  <si>
    <t>Óleo de motor (20 litros / 10.000,00 km)</t>
  </si>
  <si>
    <t>Rodagem</t>
  </si>
  <si>
    <t xml:space="preserve">Pneu diagonal </t>
  </si>
  <si>
    <t>Recapagem</t>
  </si>
  <si>
    <t>Manutenção preventiva e corretiva</t>
  </si>
  <si>
    <t>Mão de obra</t>
  </si>
  <si>
    <t>TOTAL CUSTOS VARIÁVEIS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</si>
  <si>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</si>
  <si>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</si>
  <si>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</si>
  <si>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</si>
  <si>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</si>
  <si>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</si>
  <si>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</si>
  <si>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</si>
  <si>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PLANILHA DE CUSTO OPERACIONAL</t>
  </si>
  <si>
    <t xml:space="preserve">PREÇO FINAL MENSAL DO SERVIÇO </t>
  </si>
  <si>
    <t>%</t>
  </si>
  <si>
    <t xml:space="preserve">OBJETO: EXECUÇÃO DE SERVIÇOS ESPECIALIZADOS DE TRANSPORTE ESCOLAR </t>
  </si>
  <si>
    <t>Monitora Escolar</t>
  </si>
  <si>
    <t>FGTS</t>
  </si>
  <si>
    <t xml:space="preserve">Férias </t>
  </si>
  <si>
    <t>1/3 Férias</t>
  </si>
  <si>
    <t>13 Salário</t>
  </si>
  <si>
    <t>Total custo Motorista e Monitora</t>
  </si>
  <si>
    <t xml:space="preserve">  </t>
  </si>
  <si>
    <t>QUILOMETRAGEM EM 200 DIAS</t>
  </si>
  <si>
    <t>Salário base 44 horas semanais</t>
  </si>
  <si>
    <t>Beneficios - Alimentação (-10%)</t>
  </si>
  <si>
    <t>Será consultado valor da tabela FIPE do veículo apresentado</t>
  </si>
  <si>
    <t xml:space="preserve">Considerou-se vida útil de 10 anos </t>
  </si>
  <si>
    <t>*Fontes</t>
  </si>
  <si>
    <t>Manutenção do Tacógrafo</t>
  </si>
  <si>
    <t>Valores refentes a 24 meses/*Fontes</t>
  </si>
  <si>
    <t>Combustível (Diesel)</t>
  </si>
  <si>
    <t>Total Custos Fixos</t>
  </si>
  <si>
    <t>FONTES</t>
  </si>
  <si>
    <t>*Depreciação da Frota</t>
  </si>
  <si>
    <t xml:space="preserve">Módulo 6: Metodologia de Custo do Transporte Escolar Rural FNDE (item 4.1.3 pag 9)  </t>
  </si>
  <si>
    <t>Cartilha GEIPOT - Grupo Executivo para a Integração da Política de Transportes (item B.1 pag 7)</t>
  </si>
  <si>
    <t xml:space="preserve">Módulo 6: Metodologia de Custo do Transporte Escolar Rural FNDE (item 4.1.4 pag 10)  </t>
  </si>
  <si>
    <t>Cartilha GEIPOT - Grupo Executivo para a Integração da Política de Transportes (item B.2 pag 8)</t>
  </si>
  <si>
    <t>*Alíquota IPVA</t>
  </si>
  <si>
    <t>*Taxa Remuneração do Capital</t>
  </si>
  <si>
    <t>Lei nº 14.260/2003 da Secretaria de Estado da Fazenda Coordenação da Receita do Estado</t>
  </si>
  <si>
    <t> Resolução Sefa nº 135/2021</t>
  </si>
  <si>
    <t>*Valor Licenciamento</t>
  </si>
  <si>
    <t>https://licenciamento2022.pro.br/licenciamento-2022-pr/</t>
  </si>
  <si>
    <t>*Seguro Obrigatório</t>
  </si>
  <si>
    <t>https://ipva2023.pro.br/dpvat-2023/</t>
  </si>
  <si>
    <t>https://www.segs.com.br/seguros/358562-entenda-como-ficara-o-seguro-dpvat-em-2023</t>
  </si>
  <si>
    <t>https://genteseguradora.com.br/dpvat-tambem-nao-sera-cobrado-em-2023-mas-a-susep-precisa-seguir-o-parecer-da-agu/</t>
  </si>
  <si>
    <t>IPVA  - veículo</t>
  </si>
  <si>
    <t>Licenciamento - veículo</t>
  </si>
  <si>
    <t>Seguro Obrigatório - veículo</t>
  </si>
  <si>
    <t>Seguro de Terceiros e Passageiros</t>
  </si>
  <si>
    <t>https://cronotacografo.rbmlq.gov.br/duvida_frequentes#:~:text=O%20que%20%C3%A9%20cobrado%20na,2017%20corresponde%20ao%20c%C3%B3digo%20237.</t>
  </si>
  <si>
    <t>*Valor da Mão de Obra</t>
  </si>
  <si>
    <t>Convenção Coletiva do Sindicato das Empresas de Transporte de Passageiros por Fretamento de curitiba e Municípios do Paraná – SINFRETIBA 2022/2024</t>
  </si>
  <si>
    <t xml:space="preserve">*Valor Combustível </t>
  </si>
  <si>
    <t>*Valor Manutenção Tacógrafo</t>
  </si>
  <si>
    <t>Levantamento de preço pela média dos valores dos postos de combustível do Município de Nova Fátima/PR</t>
  </si>
  <si>
    <t>Cartilha GEIPOT - Grupo Executivo para a Integração da Política de Transportes (item A.1 pag 5)</t>
  </si>
  <si>
    <t>*Coeficiente de Consumo Lubrificante</t>
  </si>
  <si>
    <t>*Coeficiente de Consumo Combustível</t>
  </si>
  <si>
    <t xml:space="preserve">Módulo 6: Metodologia de Custo do Transporte Escolar Rural FNDE (item 4.2.2 pag 12)  </t>
  </si>
  <si>
    <t>Cartilha GEIPOT - Grupo Executivo para a Integração da Política de Transportes (item A.2 pag 5)</t>
  </si>
  <si>
    <t>*Coeficiente de Rodagem</t>
  </si>
  <si>
    <t xml:space="preserve">Módulo 6: Metodologia de Custo do Transporte Escolar Rural FNDE (item 4.2.3 pag 13)  </t>
  </si>
  <si>
    <t>Cartilha GEIPOT - Grupo Executivo para a Integração da Política de Transportes (item A.3 pag 5)</t>
  </si>
  <si>
    <t>*Coeficiente Manutenção Prev/Corretiva</t>
  </si>
  <si>
    <t xml:space="preserve">Módulo 6: Metodologia de Custo do Transporte Escolar Rural FNDE (item 4.2.4 pag 14)  </t>
  </si>
  <si>
    <t>Cartilha GEIPOT - Grupo Executivo para a Integração da Política de Transportes (item A.4 pag 6)</t>
  </si>
  <si>
    <t>* Valor Seguro de Terceiros e Passageiros</t>
  </si>
  <si>
    <t xml:space="preserve">Valores referente a simulação </t>
  </si>
  <si>
    <t>LINHA 03 - BARUK</t>
  </si>
  <si>
    <t>01 BARUK</t>
  </si>
  <si>
    <t>OUTRAS DESPESAS</t>
  </si>
  <si>
    <t xml:space="preserve">Seguros: riscos e garantias </t>
  </si>
  <si>
    <t>Tributos: ISS</t>
  </si>
  <si>
    <t>Tributos: PIS / COFINS</t>
  </si>
  <si>
    <t>TOTAL</t>
  </si>
  <si>
    <t>VALORES INSS (%)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</si>
  <si>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</si>
  <si>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</si>
  <si>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</si>
  <si>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</si>
  <si>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</si>
  <si>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</si>
  <si>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</si>
  <si>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INSS 28,8%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</si>
</sst>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  <numFmt numFmtId="177" formatCode="[$-416]dddd\,\ d&quot; de &quot;mmmm&quot; de &quot;yyyy"/>
    <numFmt numFmtId="178" formatCode="0.0%"/>
    <numFmt numFmtId="179" formatCode="0.000%"/>
    <numFmt numFmtId="180" formatCode="0.0000%"/>
    <numFmt numFmtId="181" formatCode="_-&quot;R$&quot;\ * #,##0.0_-;\-&quot;R$&quot;\ * #,##0.0_-;_-&quot;R$&quot;\ * &quot;-&quot;??_-;_-@_-"/>
  </numFmts>
  <fonts count="5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u val="single"/>
      <sz val="10"/>
      <color indexed="30"/>
      <name val="Arial"/>
      <family val="2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16466E"/>
      <name val="Times New Roman"/>
      <family val="1"/>
    </font>
    <font>
      <i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165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Fill="1" applyBorder="1" applyAlignment="1">
      <alignment/>
    </xf>
    <xf numFmtId="9" fontId="0" fillId="34" borderId="0" xfId="53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" fontId="1" fillId="0" borderId="40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9" fontId="0" fillId="0" borderId="14" xfId="53" applyBorder="1" applyAlignment="1">
      <alignment/>
    </xf>
    <xf numFmtId="0" fontId="52" fillId="0" borderId="0" xfId="0" applyFont="1" applyAlignment="1">
      <alignment horizontal="center"/>
    </xf>
    <xf numFmtId="4" fontId="5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53" fillId="0" borderId="37" xfId="0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3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left"/>
    </xf>
    <xf numFmtId="0" fontId="53" fillId="0" borderId="0" xfId="0" applyFont="1" applyBorder="1" applyAlignment="1">
      <alignment/>
    </xf>
    <xf numFmtId="0" fontId="2" fillId="33" borderId="0" xfId="0" applyFont="1" applyFill="1" applyAlignment="1">
      <alignment horizontal="left" vertical="center"/>
    </xf>
    <xf numFmtId="0" fontId="32" fillId="0" borderId="0" xfId="51">
      <alignment/>
      <protection/>
    </xf>
    <xf numFmtId="0" fontId="54" fillId="0" borderId="46" xfId="51" applyFont="1" applyBorder="1">
      <alignment/>
      <protection/>
    </xf>
    <xf numFmtId="0" fontId="54" fillId="0" borderId="0" xfId="51" applyFont="1" applyBorder="1">
      <alignment/>
      <protection/>
    </xf>
    <xf numFmtId="0" fontId="55" fillId="0" borderId="47" xfId="51" applyFont="1" applyBorder="1">
      <alignment/>
      <protection/>
    </xf>
    <xf numFmtId="0" fontId="56" fillId="0" borderId="37" xfId="51" applyFont="1" applyBorder="1" applyAlignment="1">
      <alignment horizontal="left" vertical="center"/>
      <protection/>
    </xf>
    <xf numFmtId="10" fontId="56" fillId="0" borderId="48" xfId="51" applyNumberFormat="1" applyFont="1" applyBorder="1" applyAlignment="1">
      <alignment horizontal="right" vertical="center"/>
      <protection/>
    </xf>
    <xf numFmtId="0" fontId="55" fillId="0" borderId="0" xfId="51" applyFont="1" applyBorder="1">
      <alignment/>
      <protection/>
    </xf>
    <xf numFmtId="9" fontId="54" fillId="0" borderId="49" xfId="51" applyNumberFormat="1" applyFont="1" applyBorder="1">
      <alignment/>
      <protection/>
    </xf>
    <xf numFmtId="10" fontId="54" fillId="0" borderId="49" xfId="51" applyNumberFormat="1" applyFont="1" applyBorder="1">
      <alignment/>
      <protection/>
    </xf>
    <xf numFmtId="9" fontId="54" fillId="0" borderId="49" xfId="54" applyFont="1" applyBorder="1" applyAlignment="1">
      <alignment/>
    </xf>
    <xf numFmtId="10" fontId="55" fillId="0" borderId="50" xfId="51" applyNumberFormat="1" applyFont="1" applyBorder="1">
      <alignment/>
      <protection/>
    </xf>
    <xf numFmtId="0" fontId="32" fillId="0" borderId="0" xfId="51" applyFont="1">
      <alignment/>
      <protection/>
    </xf>
    <xf numFmtId="0" fontId="55" fillId="0" borderId="0" xfId="51" applyFont="1">
      <alignment/>
      <protection/>
    </xf>
    <xf numFmtId="10" fontId="55" fillId="0" borderId="0" xfId="51" applyNumberFormat="1" applyFont="1">
      <alignment/>
      <protection/>
    </xf>
    <xf numFmtId="0" fontId="55" fillId="0" borderId="51" xfId="51" applyFont="1" applyBorder="1">
      <alignment/>
      <protection/>
    </xf>
    <xf numFmtId="0" fontId="55" fillId="0" borderId="52" xfId="51" applyFont="1" applyBorder="1">
      <alignment/>
      <protection/>
    </xf>
    <xf numFmtId="0" fontId="57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53" fillId="0" borderId="37" xfId="0" applyFont="1" applyBorder="1" applyAlignment="1">
      <alignment horizontal="center" vertical="center"/>
    </xf>
    <xf numFmtId="0" fontId="58" fillId="0" borderId="43" xfId="44" applyFont="1" applyBorder="1" applyAlignment="1">
      <alignment horizontal="left"/>
    </xf>
    <xf numFmtId="0" fontId="58" fillId="0" borderId="44" xfId="44" applyFont="1" applyBorder="1" applyAlignment="1">
      <alignment horizontal="left"/>
    </xf>
    <xf numFmtId="0" fontId="58" fillId="0" borderId="45" xfId="44" applyFont="1" applyBorder="1" applyAlignment="1">
      <alignment horizontal="left"/>
    </xf>
    <xf numFmtId="4" fontId="0" fillId="0" borderId="43" xfId="0" applyNumberFormat="1" applyBorder="1" applyAlignment="1">
      <alignment horizontal="left"/>
    </xf>
    <xf numFmtId="4" fontId="0" fillId="0" borderId="44" xfId="0" applyNumberFormat="1" applyBorder="1" applyAlignment="1">
      <alignment horizontal="left"/>
    </xf>
    <xf numFmtId="4" fontId="0" fillId="0" borderId="45" xfId="0" applyNumberFormat="1" applyBorder="1" applyAlignment="1">
      <alignment horizontal="left"/>
    </xf>
    <xf numFmtId="4" fontId="0" fillId="0" borderId="37" xfId="0" applyNumberFormat="1" applyBorder="1" applyAlignment="1">
      <alignment horizontal="left"/>
    </xf>
    <xf numFmtId="0" fontId="53" fillId="0" borderId="53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fanet.pr.gov.br/dados/SEFADOCUMENTOS/10120210013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6"/>
  <sheetViews>
    <sheetView tabSelected="1" zoomScale="115" zoomScaleNormal="115" zoomScalePageLayoutView="0" workbookViewId="0" topLeftCell="A1">
      <selection activeCell="K29" sqref="K29:L36"/>
    </sheetView>
  </sheetViews>
  <sheetFormatPr defaultColWidth="9.140625" defaultRowHeight="12.75"/>
  <cols>
    <col min="1" max="1" width="16.421875" style="0" customWidth="1"/>
    <col min="2" max="2" width="7.421875" style="0" customWidth="1"/>
    <col min="3" max="3" width="41.421875" style="0" bestFit="1" customWidth="1"/>
    <col min="4" max="4" width="27.57421875" style="0" customWidth="1"/>
    <col min="5" max="5" width="13.140625" style="0" bestFit="1" customWidth="1"/>
    <col min="6" max="6" width="15.00390625" style="0" bestFit="1" customWidth="1"/>
    <col min="7" max="7" width="10.8515625" style="0" bestFit="1" customWidth="1"/>
    <col min="8" max="8" width="18.140625" style="0" customWidth="1"/>
    <col min="11" max="11" width="35.421875" style="0" bestFit="1" customWidth="1"/>
    <col min="14" max="14" width="11.140625" style="0" customWidth="1"/>
  </cols>
  <sheetData>
    <row r="1" spans="2:9" ht="15">
      <c r="B1" s="7" t="s">
        <v>34</v>
      </c>
      <c r="C1" s="6"/>
      <c r="D1" s="6"/>
      <c r="E1" s="6"/>
      <c r="F1" s="6"/>
      <c r="G1" s="6"/>
      <c r="H1" s="6"/>
      <c r="I1" s="6"/>
    </row>
    <row r="2" spans="2:9" ht="15">
      <c r="B2" s="73" t="s">
        <v>91</v>
      </c>
      <c r="C2" s="110" t="s">
        <v>92</v>
      </c>
      <c r="D2" s="6"/>
      <c r="E2" s="6"/>
      <c r="F2" s="6"/>
      <c r="G2" s="6"/>
      <c r="H2" s="6"/>
      <c r="I2" s="6"/>
    </row>
    <row r="3" spans="2:9" ht="15">
      <c r="B3" s="7"/>
      <c r="C3" s="6"/>
      <c r="D3" s="6"/>
      <c r="E3" s="6"/>
      <c r="F3" s="6"/>
      <c r="G3" s="6"/>
      <c r="H3" s="6"/>
      <c r="I3" s="6"/>
    </row>
    <row r="4" spans="2:9" ht="15">
      <c r="B4" s="3" t="s">
        <v>31</v>
      </c>
      <c r="C4" s="6"/>
      <c r="D4" s="6"/>
      <c r="E4" s="6"/>
      <c r="F4" s="6"/>
      <c r="G4" s="6"/>
      <c r="H4" s="6"/>
      <c r="I4" s="6"/>
    </row>
    <row r="5" spans="2:9" ht="15.75" thickBot="1">
      <c r="B5" s="129"/>
      <c r="C5" s="129"/>
      <c r="D5" s="129"/>
      <c r="E5" s="129"/>
      <c r="F5" s="129"/>
      <c r="G5" s="129"/>
      <c r="H5" s="129"/>
      <c r="I5" s="129"/>
    </row>
    <row r="6" spans="2:9" ht="15">
      <c r="B6" s="8"/>
      <c r="C6" s="9"/>
      <c r="D6" s="10"/>
      <c r="E6" s="10"/>
      <c r="F6" s="10"/>
      <c r="G6" s="11"/>
      <c r="H6" s="10"/>
      <c r="I6" s="12"/>
    </row>
    <row r="7" spans="2:9" ht="15">
      <c r="B7" s="13"/>
      <c r="C7" s="14" t="s">
        <v>2</v>
      </c>
      <c r="D7" s="15"/>
      <c r="E7" s="15"/>
      <c r="F7" s="15"/>
      <c r="G7" s="16"/>
      <c r="H7" s="15"/>
      <c r="I7" s="17"/>
    </row>
    <row r="8" spans="2:16" ht="15">
      <c r="B8" s="18"/>
      <c r="C8" s="19"/>
      <c r="D8" s="20"/>
      <c r="E8" s="20"/>
      <c r="F8" s="20" t="s">
        <v>3</v>
      </c>
      <c r="G8" s="21" t="s">
        <v>4</v>
      </c>
      <c r="H8" s="20" t="s">
        <v>5</v>
      </c>
      <c r="I8" s="22"/>
      <c r="J8" s="2"/>
      <c r="K8" s="2"/>
      <c r="L8" s="2"/>
      <c r="M8" s="2"/>
      <c r="N8" s="2"/>
      <c r="O8" s="2"/>
      <c r="P8" s="2"/>
    </row>
    <row r="9" spans="2:9" ht="15">
      <c r="B9" s="13"/>
      <c r="C9" s="23" t="s">
        <v>6</v>
      </c>
      <c r="D9" s="15"/>
      <c r="E9" s="15"/>
      <c r="F9" s="15"/>
      <c r="G9" s="16"/>
      <c r="H9" s="15" t="s">
        <v>7</v>
      </c>
      <c r="I9" s="17"/>
    </row>
    <row r="10" spans="2:10" ht="15">
      <c r="B10" s="13"/>
      <c r="C10" s="24" t="s">
        <v>29</v>
      </c>
      <c r="D10" s="71">
        <v>250000</v>
      </c>
      <c r="E10" s="15"/>
      <c r="F10" s="15"/>
      <c r="G10" s="16"/>
      <c r="H10" s="15"/>
      <c r="I10" s="17"/>
      <c r="J10" s="87" t="s">
        <v>45</v>
      </c>
    </row>
    <row r="11" spans="2:12" ht="15">
      <c r="B11" s="94"/>
      <c r="C11" s="25" t="s">
        <v>30</v>
      </c>
      <c r="D11" s="71">
        <v>225000</v>
      </c>
      <c r="E11" s="26"/>
      <c r="F11" s="26">
        <f>D10-D11</f>
        <v>25000</v>
      </c>
      <c r="G11" s="27">
        <f>F11/12</f>
        <v>2083.3333333333335</v>
      </c>
      <c r="H11" s="28">
        <f>G11/20</f>
        <v>104.16666666666667</v>
      </c>
      <c r="I11" s="29"/>
      <c r="J11" s="87" t="s">
        <v>46</v>
      </c>
      <c r="L11" s="1"/>
    </row>
    <row r="12" spans="2:9" ht="15">
      <c r="B12" s="13"/>
      <c r="C12" s="24"/>
      <c r="D12" s="15"/>
      <c r="E12" s="15"/>
      <c r="F12" s="15"/>
      <c r="G12" s="16"/>
      <c r="H12" s="15"/>
      <c r="I12" s="17"/>
    </row>
    <row r="13" spans="2:9" ht="15">
      <c r="B13" s="13"/>
      <c r="C13" s="23" t="s">
        <v>8</v>
      </c>
      <c r="D13" s="15"/>
      <c r="E13" s="15"/>
      <c r="F13" s="15"/>
      <c r="G13" s="16"/>
      <c r="H13" s="15"/>
      <c r="I13" s="17"/>
    </row>
    <row r="14" spans="2:10" ht="15">
      <c r="B14" s="13"/>
      <c r="C14" s="30" t="s">
        <v>68</v>
      </c>
      <c r="D14" s="26"/>
      <c r="E14" s="26"/>
      <c r="F14" s="31">
        <v>2500</v>
      </c>
      <c r="G14" s="32">
        <f>F14/12</f>
        <v>208.33333333333334</v>
      </c>
      <c r="H14" s="26">
        <f>G14/B$45</f>
        <v>10.416666666666668</v>
      </c>
      <c r="I14" s="79"/>
      <c r="J14" s="87" t="s">
        <v>47</v>
      </c>
    </row>
    <row r="15" spans="2:10" ht="15">
      <c r="B15" s="13"/>
      <c r="C15" s="25" t="s">
        <v>69</v>
      </c>
      <c r="D15" s="26"/>
      <c r="E15" s="26"/>
      <c r="F15" s="26">
        <v>86.5</v>
      </c>
      <c r="G15" s="32">
        <f>F15/12</f>
        <v>7.208333333333333</v>
      </c>
      <c r="H15" s="26">
        <f>G15/B$45</f>
        <v>0.36041666666666666</v>
      </c>
      <c r="I15" s="82"/>
      <c r="J15" s="87" t="s">
        <v>47</v>
      </c>
    </row>
    <row r="16" spans="2:10" ht="15">
      <c r="B16" s="13"/>
      <c r="C16" s="25" t="s">
        <v>70</v>
      </c>
      <c r="D16" s="26"/>
      <c r="E16" s="26"/>
      <c r="F16" s="26"/>
      <c r="G16" s="32">
        <f>F16/12</f>
        <v>0</v>
      </c>
      <c r="H16" s="26">
        <f>G16/B$45</f>
        <v>0</v>
      </c>
      <c r="I16" s="82"/>
      <c r="J16" s="87" t="s">
        <v>47</v>
      </c>
    </row>
    <row r="17" spans="2:10" ht="15">
      <c r="B17" s="13"/>
      <c r="C17" s="25" t="s">
        <v>71</v>
      </c>
      <c r="D17" s="26"/>
      <c r="E17" s="26"/>
      <c r="F17" s="26">
        <v>1000</v>
      </c>
      <c r="G17" s="32">
        <f>F17/12</f>
        <v>83.33333333333333</v>
      </c>
      <c r="H17" s="26">
        <f>G17/B45</f>
        <v>4.166666666666666</v>
      </c>
      <c r="I17" s="82"/>
      <c r="J17" s="87" t="s">
        <v>47</v>
      </c>
    </row>
    <row r="18" spans="2:10" ht="15">
      <c r="B18" s="13"/>
      <c r="C18" s="33" t="s">
        <v>48</v>
      </c>
      <c r="D18" s="34"/>
      <c r="E18" s="34"/>
      <c r="F18" s="34">
        <v>207.34</v>
      </c>
      <c r="G18" s="32">
        <f>F18/24</f>
        <v>8.639166666666666</v>
      </c>
      <c r="H18" s="34">
        <f>G18/20</f>
        <v>0.43195833333333333</v>
      </c>
      <c r="I18" s="83"/>
      <c r="J18" s="87" t="s">
        <v>49</v>
      </c>
    </row>
    <row r="19" spans="2:9" ht="15">
      <c r="B19" s="13"/>
      <c r="C19" s="24"/>
      <c r="D19" s="15"/>
      <c r="E19" s="15"/>
      <c r="F19" s="15"/>
      <c r="G19" s="35">
        <f>SUM(G14:G18)</f>
        <v>307.51416666666665</v>
      </c>
      <c r="H19" s="36">
        <f>SUM(H14:H18)</f>
        <v>15.375708333333336</v>
      </c>
      <c r="I19" s="79"/>
    </row>
    <row r="20" spans="2:10" ht="15">
      <c r="B20" s="13"/>
      <c r="C20" s="23" t="s">
        <v>21</v>
      </c>
      <c r="D20" s="15"/>
      <c r="E20" s="15"/>
      <c r="F20" s="15"/>
      <c r="G20" s="16"/>
      <c r="H20" s="15"/>
      <c r="I20" s="79"/>
      <c r="J20" s="87" t="s">
        <v>47</v>
      </c>
    </row>
    <row r="21" spans="2:9" ht="15">
      <c r="B21" s="13"/>
      <c r="C21" s="23"/>
      <c r="D21" s="15"/>
      <c r="E21" s="15"/>
      <c r="F21" s="15"/>
      <c r="G21" s="16"/>
      <c r="H21" s="15"/>
      <c r="I21" s="79"/>
    </row>
    <row r="22" spans="2:13" ht="15.75" thickBot="1">
      <c r="B22" s="13"/>
      <c r="C22" s="23" t="s">
        <v>0</v>
      </c>
      <c r="D22" s="47" t="s">
        <v>43</v>
      </c>
      <c r="E22" s="47"/>
      <c r="F22" s="47"/>
      <c r="G22" s="53">
        <v>2205</v>
      </c>
      <c r="H22" s="64">
        <f>G22/B45</f>
        <v>110.25</v>
      </c>
      <c r="I22" s="79"/>
      <c r="L22" s="117"/>
      <c r="M22" s="117"/>
    </row>
    <row r="23" spans="2:13" ht="15.75" thickBot="1">
      <c r="B23" s="13"/>
      <c r="C23" s="23"/>
      <c r="D23" s="47" t="s">
        <v>106</v>
      </c>
      <c r="E23" s="47"/>
      <c r="F23" s="47"/>
      <c r="G23" s="53">
        <f>G22*L29</f>
        <v>635.04</v>
      </c>
      <c r="H23" s="64">
        <f>G23/20</f>
        <v>31.752</v>
      </c>
      <c r="I23" s="79"/>
      <c r="K23" s="125" t="s">
        <v>93</v>
      </c>
      <c r="L23" s="126"/>
      <c r="M23" s="117"/>
    </row>
    <row r="24" spans="2:13" ht="15">
      <c r="B24" s="13"/>
      <c r="C24" s="24"/>
      <c r="D24" s="47" t="s">
        <v>36</v>
      </c>
      <c r="E24" s="47"/>
      <c r="F24" s="47"/>
      <c r="G24" s="53">
        <f>G22*8%</f>
        <v>176.4</v>
      </c>
      <c r="H24" s="64">
        <f>G24/B45</f>
        <v>8.82</v>
      </c>
      <c r="I24" s="79"/>
      <c r="K24" s="112" t="s">
        <v>94</v>
      </c>
      <c r="L24" s="119">
        <v>0.015</v>
      </c>
      <c r="M24" s="113"/>
    </row>
    <row r="25" spans="2:12" ht="15">
      <c r="B25" s="13"/>
      <c r="C25" s="24"/>
      <c r="D25" s="47" t="s">
        <v>37</v>
      </c>
      <c r="E25" s="47"/>
      <c r="F25" s="47"/>
      <c r="G25" s="53">
        <f>(G22/12)</f>
        <v>183.75</v>
      </c>
      <c r="H25" s="64">
        <f>G25/B45</f>
        <v>9.1875</v>
      </c>
      <c r="I25" s="79"/>
      <c r="K25" s="112" t="s">
        <v>95</v>
      </c>
      <c r="L25" s="118">
        <v>0.02</v>
      </c>
    </row>
    <row r="26" spans="2:12" ht="15">
      <c r="B26" s="13"/>
      <c r="C26" s="24"/>
      <c r="D26" s="47" t="s">
        <v>38</v>
      </c>
      <c r="E26" s="47"/>
      <c r="F26" s="47"/>
      <c r="G26" s="53">
        <f>(G22/3)/12</f>
        <v>61.25</v>
      </c>
      <c r="H26" s="64">
        <f>G26/B45</f>
        <v>3.0625</v>
      </c>
      <c r="I26" s="79"/>
      <c r="K26" s="112" t="s">
        <v>96</v>
      </c>
      <c r="L26" s="120">
        <v>0.0925</v>
      </c>
    </row>
    <row r="27" spans="2:12" ht="15.75" thickBot="1">
      <c r="B27" s="13"/>
      <c r="C27" s="24"/>
      <c r="D27" s="47" t="s">
        <v>39</v>
      </c>
      <c r="E27" s="47"/>
      <c r="F27" s="47"/>
      <c r="G27" s="53">
        <f>G22/12</f>
        <v>183.75</v>
      </c>
      <c r="H27" s="64">
        <f>G27/B45</f>
        <v>9.1875</v>
      </c>
      <c r="I27" s="79"/>
      <c r="K27" s="114" t="s">
        <v>97</v>
      </c>
      <c r="L27" s="121">
        <f>SUM(L24:L26)</f>
        <v>0.1275</v>
      </c>
    </row>
    <row r="28" spans="2:9" ht="15">
      <c r="B28" s="13"/>
      <c r="C28" s="24"/>
      <c r="D28" s="47" t="s">
        <v>44</v>
      </c>
      <c r="E28" s="47"/>
      <c r="F28" s="47"/>
      <c r="G28" s="53">
        <v>558</v>
      </c>
      <c r="H28" s="64">
        <f>G28/B45</f>
        <v>27.9</v>
      </c>
      <c r="I28" s="79"/>
    </row>
    <row r="29" spans="2:12" ht="15">
      <c r="B29" s="13"/>
      <c r="C29" s="24"/>
      <c r="D29" s="67" t="s">
        <v>1</v>
      </c>
      <c r="E29" s="67"/>
      <c r="F29" s="67"/>
      <c r="G29" s="70">
        <f>SUM(G22:G28)</f>
        <v>4003.19</v>
      </c>
      <c r="H29" s="68">
        <f>G29/20</f>
        <v>200.1595</v>
      </c>
      <c r="I29" s="79"/>
      <c r="K29" s="123" t="s">
        <v>98</v>
      </c>
      <c r="L29" s="124">
        <v>0.288</v>
      </c>
    </row>
    <row r="30" spans="2:12" ht="15">
      <c r="B30" s="13"/>
      <c r="C30" s="24"/>
      <c r="D30" s="15"/>
      <c r="E30" s="15"/>
      <c r="F30" s="15"/>
      <c r="G30" s="16"/>
      <c r="H30" s="69"/>
      <c r="I30" s="79"/>
      <c r="K30" s="115" t="s">
        <v>99</v>
      </c>
      <c r="L30" s="116">
        <v>0.2</v>
      </c>
    </row>
    <row r="31" spans="2:13" ht="15">
      <c r="B31" s="13"/>
      <c r="C31" s="23" t="s">
        <v>35</v>
      </c>
      <c r="D31" s="47" t="s">
        <v>43</v>
      </c>
      <c r="E31" s="47"/>
      <c r="F31" s="47"/>
      <c r="G31" s="53">
        <v>1704</v>
      </c>
      <c r="H31" s="64">
        <f>G31/B45</f>
        <v>85.2</v>
      </c>
      <c r="I31" s="79"/>
      <c r="K31" s="115" t="s">
        <v>100</v>
      </c>
      <c r="L31" s="116">
        <v>0.015</v>
      </c>
      <c r="M31" s="122"/>
    </row>
    <row r="32" spans="2:13" ht="15">
      <c r="B32" s="13"/>
      <c r="C32" s="23"/>
      <c r="D32" s="47" t="s">
        <v>106</v>
      </c>
      <c r="E32" s="47"/>
      <c r="F32" s="47"/>
      <c r="G32" s="53">
        <f>G31*L29</f>
        <v>490.75199999999995</v>
      </c>
      <c r="H32" s="64">
        <f>G32/20</f>
        <v>24.537599999999998</v>
      </c>
      <c r="I32" s="79"/>
      <c r="K32" s="115" t="s">
        <v>101</v>
      </c>
      <c r="L32" s="116">
        <v>0.01</v>
      </c>
      <c r="M32" s="122"/>
    </row>
    <row r="33" spans="2:13" ht="15">
      <c r="B33" s="13"/>
      <c r="C33" s="24"/>
      <c r="D33" s="47" t="s">
        <v>36</v>
      </c>
      <c r="E33" s="47"/>
      <c r="F33" s="47"/>
      <c r="G33" s="53">
        <f>(G31*8%)</f>
        <v>136.32</v>
      </c>
      <c r="H33" s="64">
        <f>G33/B45</f>
        <v>6.816</v>
      </c>
      <c r="I33" s="79"/>
      <c r="K33" s="115" t="s">
        <v>102</v>
      </c>
      <c r="L33" s="116">
        <v>0.002</v>
      </c>
      <c r="M33" s="122"/>
    </row>
    <row r="34" spans="2:13" ht="15">
      <c r="B34" s="13"/>
      <c r="C34" s="24"/>
      <c r="D34" s="47" t="s">
        <v>37</v>
      </c>
      <c r="E34" s="47"/>
      <c r="F34" s="47"/>
      <c r="G34" s="53">
        <f>G31/12</f>
        <v>142</v>
      </c>
      <c r="H34" s="64">
        <f>G34/B45</f>
        <v>7.1</v>
      </c>
      <c r="I34" s="79"/>
      <c r="K34" s="115" t="s">
        <v>103</v>
      </c>
      <c r="L34" s="116">
        <v>0.006</v>
      </c>
      <c r="M34" s="122"/>
    </row>
    <row r="35" spans="2:13" ht="15">
      <c r="B35" s="13"/>
      <c r="C35" s="24"/>
      <c r="D35" s="47" t="s">
        <v>38</v>
      </c>
      <c r="E35" s="47"/>
      <c r="F35" s="47"/>
      <c r="G35" s="53">
        <f>(G31/3)/12</f>
        <v>47.333333333333336</v>
      </c>
      <c r="H35" s="64">
        <f>G35/B45</f>
        <v>2.3666666666666667</v>
      </c>
      <c r="I35" s="79"/>
      <c r="K35" s="115" t="s">
        <v>104</v>
      </c>
      <c r="L35" s="116">
        <v>0.025</v>
      </c>
      <c r="M35" s="122"/>
    </row>
    <row r="36" spans="2:13" ht="15">
      <c r="B36" s="13"/>
      <c r="C36" s="24"/>
      <c r="D36" s="47" t="s">
        <v>39</v>
      </c>
      <c r="E36" s="47"/>
      <c r="F36" s="47"/>
      <c r="G36" s="53">
        <f>G31/12</f>
        <v>142</v>
      </c>
      <c r="H36" s="64">
        <f>G36/B45</f>
        <v>7.1</v>
      </c>
      <c r="I36" s="79"/>
      <c r="K36" s="115" t="s">
        <v>105</v>
      </c>
      <c r="L36" s="116">
        <v>0.03</v>
      </c>
      <c r="M36" s="122"/>
    </row>
    <row r="37" spans="2:13" ht="15">
      <c r="B37" s="13"/>
      <c r="C37" s="24"/>
      <c r="D37" s="47" t="s">
        <v>44</v>
      </c>
      <c r="E37" s="47"/>
      <c r="F37" s="47"/>
      <c r="G37" s="53">
        <v>430.2</v>
      </c>
      <c r="H37" s="64">
        <f>G37/B45</f>
        <v>21.509999999999998</v>
      </c>
      <c r="I37" s="79"/>
      <c r="M37" s="122"/>
    </row>
    <row r="38" spans="2:13" ht="15">
      <c r="B38" s="13"/>
      <c r="C38" s="24"/>
      <c r="D38" s="67" t="s">
        <v>1</v>
      </c>
      <c r="E38" s="67"/>
      <c r="F38" s="67"/>
      <c r="G38" s="70">
        <f>SUM(G31:G37)</f>
        <v>3092.6053333333334</v>
      </c>
      <c r="H38" s="68">
        <f>G38/20</f>
        <v>154.63026666666667</v>
      </c>
      <c r="I38" s="17"/>
      <c r="M38" s="122"/>
    </row>
    <row r="39" spans="2:13" ht="15">
      <c r="B39" s="13"/>
      <c r="C39" s="62" t="s">
        <v>40</v>
      </c>
      <c r="D39" s="15"/>
      <c r="E39" s="65"/>
      <c r="F39" s="15"/>
      <c r="G39" s="35">
        <f>SUM(G29+G38)</f>
        <v>7095.7953333333335</v>
      </c>
      <c r="H39" s="36">
        <f>(H29+H38)</f>
        <v>354.78976666666665</v>
      </c>
      <c r="I39" s="17"/>
      <c r="M39" s="122"/>
    </row>
    <row r="40" spans="2:14" ht="15">
      <c r="B40" s="13"/>
      <c r="C40" s="24"/>
      <c r="D40" s="15"/>
      <c r="E40" s="15"/>
      <c r="F40" s="15"/>
      <c r="G40" s="35"/>
      <c r="H40" s="36"/>
      <c r="I40" s="79"/>
      <c r="M40" s="122"/>
      <c r="N40" s="111"/>
    </row>
    <row r="41" spans="2:14" ht="15">
      <c r="B41" s="13"/>
      <c r="C41" s="37" t="s">
        <v>51</v>
      </c>
      <c r="D41" s="26"/>
      <c r="E41" s="26"/>
      <c r="F41" s="26"/>
      <c r="G41" s="27">
        <f>G11+G19+G39</f>
        <v>9486.642833333333</v>
      </c>
      <c r="H41" s="38">
        <f>G41/20</f>
        <v>474.33214166666664</v>
      </c>
      <c r="I41" s="82"/>
      <c r="M41" s="122"/>
      <c r="N41" s="111"/>
    </row>
    <row r="42" spans="2:14" ht="15.75" thickBot="1">
      <c r="B42" s="4"/>
      <c r="C42" s="4"/>
      <c r="D42" s="5"/>
      <c r="E42" s="5"/>
      <c r="F42" s="5"/>
      <c r="G42" s="5"/>
      <c r="H42" s="5"/>
      <c r="I42" s="84"/>
      <c r="N42" s="111"/>
    </row>
    <row r="43" spans="2:9" ht="15">
      <c r="B43" s="8"/>
      <c r="C43" s="9"/>
      <c r="D43" s="10"/>
      <c r="E43" s="10"/>
      <c r="F43" s="10"/>
      <c r="G43" s="10"/>
      <c r="H43" s="10"/>
      <c r="I43" s="85"/>
    </row>
    <row r="44" spans="2:16" ht="15">
      <c r="B44" s="18"/>
      <c r="C44" s="14" t="s">
        <v>9</v>
      </c>
      <c r="D44" s="20" t="s">
        <v>10</v>
      </c>
      <c r="E44" s="20" t="s">
        <v>11</v>
      </c>
      <c r="F44" s="20" t="s">
        <v>12</v>
      </c>
      <c r="G44" s="21" t="s">
        <v>4</v>
      </c>
      <c r="H44" s="20" t="s">
        <v>5</v>
      </c>
      <c r="I44" s="86"/>
      <c r="J44" s="2"/>
      <c r="K44" s="2"/>
      <c r="L44" s="2"/>
      <c r="M44" s="2"/>
      <c r="N44" s="2"/>
      <c r="O44" s="2"/>
      <c r="P44" s="2"/>
    </row>
    <row r="45" spans="2:16" ht="15">
      <c r="B45" s="43">
        <v>20</v>
      </c>
      <c r="C45" s="44" t="s">
        <v>13</v>
      </c>
      <c r="D45" s="20"/>
      <c r="E45" s="20"/>
      <c r="F45" s="20"/>
      <c r="G45" s="21"/>
      <c r="H45" s="20"/>
      <c r="I45" s="86"/>
      <c r="J45" s="2"/>
      <c r="K45" s="2"/>
      <c r="L45" s="2"/>
      <c r="M45" s="2"/>
      <c r="N45" s="2"/>
      <c r="O45" s="2"/>
      <c r="P45" s="2"/>
    </row>
    <row r="46" spans="2:16" ht="15">
      <c r="B46" s="18">
        <v>76</v>
      </c>
      <c r="C46" s="44" t="s">
        <v>14</v>
      </c>
      <c r="D46" s="20"/>
      <c r="E46" s="20"/>
      <c r="F46" s="20"/>
      <c r="G46" s="21"/>
      <c r="H46" s="20"/>
      <c r="I46" s="86"/>
      <c r="J46" s="2"/>
      <c r="K46" s="2"/>
      <c r="L46" s="2"/>
      <c r="M46" s="2"/>
      <c r="N46" s="2"/>
      <c r="O46" s="2"/>
      <c r="P46" s="2"/>
    </row>
    <row r="47" spans="2:9" ht="15">
      <c r="B47" s="13"/>
      <c r="C47" s="24"/>
      <c r="D47" s="45"/>
      <c r="E47" s="15"/>
      <c r="F47" s="15"/>
      <c r="G47" s="16"/>
      <c r="H47" s="15"/>
      <c r="I47" s="79"/>
    </row>
    <row r="48" spans="2:10" ht="15">
      <c r="B48" s="13"/>
      <c r="C48" s="46" t="s">
        <v>50</v>
      </c>
      <c r="D48" s="52">
        <v>0.35</v>
      </c>
      <c r="E48" s="47">
        <v>5.86</v>
      </c>
      <c r="F48" s="47">
        <f>B46</f>
        <v>76</v>
      </c>
      <c r="G48" s="48">
        <f>D48*E48*F48*B45</f>
        <v>3117.52</v>
      </c>
      <c r="H48" s="49">
        <f>G48/20</f>
        <v>155.876</v>
      </c>
      <c r="I48" s="79"/>
      <c r="J48" s="87" t="s">
        <v>47</v>
      </c>
    </row>
    <row r="49" spans="2:10" ht="15">
      <c r="B49" s="13"/>
      <c r="C49" s="23" t="s">
        <v>15</v>
      </c>
      <c r="D49" s="50"/>
      <c r="E49" s="15"/>
      <c r="F49" s="15"/>
      <c r="G49" s="16"/>
      <c r="H49" s="36"/>
      <c r="I49" s="79"/>
      <c r="J49" s="87" t="s">
        <v>47</v>
      </c>
    </row>
    <row r="50" spans="2:9" ht="15">
      <c r="B50" s="13"/>
      <c r="C50" s="51" t="s">
        <v>16</v>
      </c>
      <c r="D50" s="52">
        <v>0.04</v>
      </c>
      <c r="E50" s="47">
        <v>5.86</v>
      </c>
      <c r="F50" s="47">
        <f>B46</f>
        <v>76</v>
      </c>
      <c r="G50" s="48">
        <f>D50*E50*F50*$B$45</f>
        <v>356.28800000000007</v>
      </c>
      <c r="H50" s="54">
        <f>G50/20</f>
        <v>17.814400000000003</v>
      </c>
      <c r="I50" s="79"/>
    </row>
    <row r="51" spans="2:9" ht="15">
      <c r="B51" s="13"/>
      <c r="C51" s="59"/>
      <c r="D51" s="55"/>
      <c r="E51" s="56"/>
      <c r="F51" s="56"/>
      <c r="G51" s="57"/>
      <c r="H51" s="58"/>
      <c r="I51" s="79"/>
    </row>
    <row r="52" spans="2:9" ht="15">
      <c r="B52" s="13"/>
      <c r="C52" s="61"/>
      <c r="D52" s="45"/>
      <c r="E52" s="15"/>
      <c r="F52" s="15"/>
      <c r="G52" s="16"/>
      <c r="H52" s="15"/>
      <c r="I52" s="79"/>
    </row>
    <row r="53" spans="2:10" ht="15">
      <c r="B53" s="13"/>
      <c r="C53" s="62" t="s">
        <v>17</v>
      </c>
      <c r="D53" s="45"/>
      <c r="E53" s="15"/>
      <c r="F53" s="15"/>
      <c r="G53" s="16"/>
      <c r="H53" s="15"/>
      <c r="I53" s="79"/>
      <c r="J53" s="87" t="s">
        <v>47</v>
      </c>
    </row>
    <row r="54" spans="2:9" ht="15">
      <c r="B54" s="13"/>
      <c r="C54" s="63" t="s">
        <v>18</v>
      </c>
      <c r="D54" s="52">
        <v>2E-05</v>
      </c>
      <c r="E54" s="47">
        <v>4000</v>
      </c>
      <c r="F54" s="47">
        <f>B46</f>
        <v>76</v>
      </c>
      <c r="G54" s="53">
        <f>D54*E54*F54*$B$45</f>
        <v>121.6</v>
      </c>
      <c r="H54" s="54">
        <f>G54/B$45</f>
        <v>6.08</v>
      </c>
      <c r="I54" s="79"/>
    </row>
    <row r="55" spans="2:9" ht="15">
      <c r="B55" s="13"/>
      <c r="C55" s="59" t="s">
        <v>19</v>
      </c>
      <c r="D55" s="55">
        <v>2E-05</v>
      </c>
      <c r="E55" s="56">
        <v>1500</v>
      </c>
      <c r="F55" s="60">
        <f>B46</f>
        <v>76</v>
      </c>
      <c r="G55" s="32">
        <f>D55*E55*F55*$B$45</f>
        <v>45.60000000000001</v>
      </c>
      <c r="H55" s="28">
        <f>G55/B$45</f>
        <v>2.2800000000000002</v>
      </c>
      <c r="I55" s="79"/>
    </row>
    <row r="56" spans="2:9" ht="15">
      <c r="B56" s="13"/>
      <c r="C56" s="61"/>
      <c r="D56" s="45"/>
      <c r="E56" s="15"/>
      <c r="F56" s="15"/>
      <c r="G56" s="35">
        <f>SUM(G54:G55)</f>
        <v>167.2</v>
      </c>
      <c r="H56" s="36">
        <f>SUM(H54:H55)</f>
        <v>8.36</v>
      </c>
      <c r="I56" s="79"/>
    </row>
    <row r="57" spans="2:9" ht="15">
      <c r="B57" s="13"/>
      <c r="C57" s="24"/>
      <c r="D57" s="45"/>
      <c r="E57" s="15"/>
      <c r="F57" s="15"/>
      <c r="G57" s="16"/>
      <c r="H57" s="15"/>
      <c r="I57" s="79"/>
    </row>
    <row r="58" spans="2:10" ht="15">
      <c r="B58" s="13"/>
      <c r="C58" s="62" t="s">
        <v>20</v>
      </c>
      <c r="D58" s="15"/>
      <c r="E58" s="15"/>
      <c r="F58" s="15"/>
      <c r="G58" s="35">
        <f>0.0033*D10</f>
        <v>825</v>
      </c>
      <c r="H58" s="15"/>
      <c r="I58" s="79"/>
      <c r="J58" s="87" t="s">
        <v>47</v>
      </c>
    </row>
    <row r="59" spans="2:9" ht="15">
      <c r="B59" s="13"/>
      <c r="C59" s="62" t="s">
        <v>22</v>
      </c>
      <c r="D59" s="15"/>
      <c r="E59" s="65"/>
      <c r="F59" s="15"/>
      <c r="G59" s="35">
        <f>SUM(G48+G50+G56+G58)</f>
        <v>4466.008</v>
      </c>
      <c r="H59" s="36"/>
      <c r="I59" s="17"/>
    </row>
    <row r="60" spans="2:9" ht="15.75" thickBot="1">
      <c r="B60" s="88"/>
      <c r="C60" s="89"/>
      <c r="D60" s="90"/>
      <c r="E60" s="91"/>
      <c r="F60" s="90"/>
      <c r="G60" s="92"/>
      <c r="H60" s="90"/>
      <c r="I60" s="93"/>
    </row>
    <row r="61" spans="2:9" ht="15">
      <c r="B61" s="24"/>
      <c r="C61" s="24"/>
      <c r="D61" s="15"/>
      <c r="E61" s="65"/>
      <c r="F61" s="15"/>
      <c r="G61" s="15"/>
      <c r="H61" s="15"/>
      <c r="I61" s="24"/>
    </row>
    <row r="62" spans="2:9" ht="15.75" thickBot="1">
      <c r="B62" s="4"/>
      <c r="C62" s="4"/>
      <c r="D62" s="5"/>
      <c r="E62" s="5"/>
      <c r="F62" s="5"/>
      <c r="G62" s="5"/>
      <c r="H62" s="5"/>
      <c r="I62" s="4"/>
    </row>
    <row r="63" spans="2:9" ht="15">
      <c r="B63" s="8"/>
      <c r="C63" s="127" t="s">
        <v>93</v>
      </c>
      <c r="D63" s="10"/>
      <c r="E63" s="10"/>
      <c r="F63" s="10"/>
      <c r="G63" s="128">
        <f>(G41+G59)*L27</f>
        <v>1778.96298125</v>
      </c>
      <c r="H63" s="128">
        <f>G63/20</f>
        <v>88.9481490625</v>
      </c>
      <c r="I63" s="12"/>
    </row>
    <row r="64" spans="2:9" ht="15">
      <c r="B64" s="13"/>
      <c r="C64" s="66" t="s">
        <v>23</v>
      </c>
      <c r="D64" s="15"/>
      <c r="E64" s="15"/>
      <c r="F64" s="15"/>
      <c r="G64" s="36">
        <f>G41+G59+G63</f>
        <v>15731.613814583334</v>
      </c>
      <c r="H64" s="36">
        <f>G64/20</f>
        <v>786.5806907291667</v>
      </c>
      <c r="I64" s="17"/>
    </row>
    <row r="65" spans="2:9" ht="15.75" thickBot="1">
      <c r="B65" s="39"/>
      <c r="C65" s="40"/>
      <c r="D65" s="41"/>
      <c r="E65" s="41"/>
      <c r="F65" s="41"/>
      <c r="G65" s="41"/>
      <c r="H65" s="41"/>
      <c r="I65" s="42"/>
    </row>
    <row r="66" spans="2:9" ht="15">
      <c r="B66" s="4"/>
      <c r="C66" s="4"/>
      <c r="D66" s="5"/>
      <c r="E66" s="5"/>
      <c r="F66" s="5"/>
      <c r="G66" s="5"/>
      <c r="H66" s="5"/>
      <c r="I66" s="4"/>
    </row>
    <row r="67" spans="2:9" ht="15.75" thickBot="1">
      <c r="B67" s="4"/>
      <c r="C67" s="4"/>
      <c r="D67" s="5"/>
      <c r="E67" s="5"/>
      <c r="F67" s="5"/>
      <c r="G67" s="5"/>
      <c r="H67" s="5"/>
      <c r="I67" s="4"/>
    </row>
    <row r="68" spans="2:9" ht="15">
      <c r="B68" s="8"/>
      <c r="C68" s="9" t="s">
        <v>24</v>
      </c>
      <c r="D68" s="10"/>
      <c r="E68" s="10"/>
      <c r="F68" s="10"/>
      <c r="G68" s="10"/>
      <c r="H68" s="10"/>
      <c r="I68" s="12"/>
    </row>
    <row r="69" spans="2:9" ht="15">
      <c r="B69" s="13"/>
      <c r="C69" s="24" t="s">
        <v>28</v>
      </c>
      <c r="D69" s="50">
        <v>6</v>
      </c>
      <c r="E69" s="15" t="s">
        <v>33</v>
      </c>
      <c r="F69" s="15"/>
      <c r="G69" s="15"/>
      <c r="H69" s="15"/>
      <c r="I69" s="79"/>
    </row>
    <row r="70" spans="2:14" ht="15">
      <c r="B70" s="13"/>
      <c r="C70" s="24"/>
      <c r="D70" s="15"/>
      <c r="E70" s="15"/>
      <c r="F70" s="15"/>
      <c r="G70" s="15"/>
      <c r="H70" s="15"/>
      <c r="I70" s="79"/>
      <c r="N70" s="76"/>
    </row>
    <row r="71" spans="2:9" ht="15">
      <c r="B71" s="13"/>
      <c r="C71" s="24" t="s">
        <v>25</v>
      </c>
      <c r="D71" s="75">
        <v>15</v>
      </c>
      <c r="E71" s="15" t="s">
        <v>33</v>
      </c>
      <c r="F71" s="15"/>
      <c r="G71" s="15"/>
      <c r="H71" s="15"/>
      <c r="I71" s="79"/>
    </row>
    <row r="72" spans="2:9" ht="15">
      <c r="B72" s="13"/>
      <c r="C72" s="24"/>
      <c r="D72" s="50">
        <f>SUM(D69:D71)</f>
        <v>21</v>
      </c>
      <c r="E72" s="15" t="s">
        <v>33</v>
      </c>
      <c r="F72" s="15"/>
      <c r="G72" s="15"/>
      <c r="H72" s="15"/>
      <c r="I72" s="79"/>
    </row>
    <row r="73" spans="2:9" ht="15">
      <c r="B73" s="13"/>
      <c r="C73" s="24"/>
      <c r="D73" s="15"/>
      <c r="E73" s="15"/>
      <c r="F73" s="15"/>
      <c r="G73" s="15"/>
      <c r="H73" s="15"/>
      <c r="I73" s="79"/>
    </row>
    <row r="74" spans="2:9" ht="15">
      <c r="B74" s="13"/>
      <c r="C74" s="23" t="s">
        <v>32</v>
      </c>
      <c r="D74" s="15"/>
      <c r="E74" s="15"/>
      <c r="F74" s="80">
        <v>0.21</v>
      </c>
      <c r="G74" s="81">
        <f>(G64*F74)+G64</f>
        <v>19035.252715645835</v>
      </c>
      <c r="H74" s="36"/>
      <c r="I74" s="17"/>
    </row>
    <row r="75" spans="2:9" ht="15">
      <c r="B75" s="13"/>
      <c r="C75" s="24"/>
      <c r="D75" s="15"/>
      <c r="E75" s="15"/>
      <c r="F75" s="1"/>
      <c r="G75" s="1"/>
      <c r="H75" s="15"/>
      <c r="I75" s="17"/>
    </row>
    <row r="76" spans="2:9" ht="15">
      <c r="B76" s="13"/>
      <c r="C76" s="24" t="s">
        <v>26</v>
      </c>
      <c r="D76" s="15">
        <f>20*B46</f>
        <v>1520</v>
      </c>
      <c r="E76" s="15"/>
      <c r="F76" s="15"/>
      <c r="G76" s="36"/>
      <c r="H76" s="15"/>
      <c r="I76" s="17"/>
    </row>
    <row r="77" spans="2:10" ht="15">
      <c r="B77" s="13"/>
      <c r="C77" s="24" t="s">
        <v>42</v>
      </c>
      <c r="D77" s="15">
        <f>200*B46</f>
        <v>15200</v>
      </c>
      <c r="E77" s="15"/>
      <c r="F77" s="15"/>
      <c r="G77" s="1"/>
      <c r="H77" s="15"/>
      <c r="I77" s="17"/>
      <c r="J77" t="s">
        <v>41</v>
      </c>
    </row>
    <row r="78" spans="2:9" ht="15">
      <c r="B78" s="13"/>
      <c r="C78" s="74" t="s">
        <v>27</v>
      </c>
      <c r="D78" s="72"/>
      <c r="E78" s="72"/>
      <c r="F78" s="72"/>
      <c r="G78" s="81">
        <f>G74/D76</f>
        <v>12.523192576082787</v>
      </c>
      <c r="H78" s="36"/>
      <c r="I78" s="17"/>
    </row>
    <row r="79" spans="2:9" ht="15">
      <c r="B79" s="13"/>
      <c r="C79" s="24"/>
      <c r="D79" s="15"/>
      <c r="E79" s="15"/>
      <c r="F79" s="15"/>
      <c r="G79" s="36"/>
      <c r="H79" s="15"/>
      <c r="I79" s="17"/>
    </row>
    <row r="80" spans="2:9" ht="15.75" thickBot="1">
      <c r="B80" s="39"/>
      <c r="C80" s="40"/>
      <c r="D80" s="41"/>
      <c r="E80" s="41"/>
      <c r="F80" s="41"/>
      <c r="G80" s="41"/>
      <c r="H80" s="41"/>
      <c r="I80" s="42"/>
    </row>
    <row r="81" spans="2:9" ht="15">
      <c r="B81" s="4"/>
      <c r="C81" s="4"/>
      <c r="D81" s="5"/>
      <c r="E81" s="5"/>
      <c r="F81" s="5"/>
      <c r="G81" s="5"/>
      <c r="H81" s="5"/>
      <c r="I81" s="4"/>
    </row>
    <row r="82" spans="2:9" ht="15">
      <c r="B82" s="4"/>
      <c r="C82" s="4"/>
      <c r="D82" s="5"/>
      <c r="E82" s="5"/>
      <c r="F82" s="5"/>
      <c r="G82" s="5"/>
      <c r="H82" s="5"/>
      <c r="I82" s="4"/>
    </row>
    <row r="83" spans="2:8" ht="12.75">
      <c r="B83" s="77"/>
      <c r="C83" s="95" t="s">
        <v>52</v>
      </c>
      <c r="D83" s="1"/>
      <c r="E83" s="1"/>
      <c r="F83" s="1"/>
      <c r="G83" s="1"/>
      <c r="H83" s="1"/>
    </row>
    <row r="84" spans="2:8" ht="12.75">
      <c r="B84" s="77"/>
      <c r="D84" s="1"/>
      <c r="E84" s="1"/>
      <c r="F84" s="1"/>
      <c r="G84" s="1"/>
      <c r="H84" s="1"/>
    </row>
    <row r="85" spans="2:9" ht="12.75">
      <c r="B85" s="77"/>
      <c r="C85" s="130" t="s">
        <v>53</v>
      </c>
      <c r="D85" s="96" t="s">
        <v>54</v>
      </c>
      <c r="E85" s="97"/>
      <c r="F85" s="97"/>
      <c r="G85" s="97"/>
      <c r="H85" s="97"/>
      <c r="I85" s="98"/>
    </row>
    <row r="86" spans="2:9" ht="12.75">
      <c r="B86" s="77"/>
      <c r="C86" s="130"/>
      <c r="D86" s="96" t="s">
        <v>55</v>
      </c>
      <c r="E86" s="97"/>
      <c r="F86" s="97"/>
      <c r="G86" s="97"/>
      <c r="H86" s="97"/>
      <c r="I86" s="98"/>
    </row>
    <row r="87" spans="2:8" ht="12.75">
      <c r="B87" s="77"/>
      <c r="D87" s="1"/>
      <c r="E87" s="1"/>
      <c r="F87" s="1"/>
      <c r="G87" s="1"/>
      <c r="H87" s="1"/>
    </row>
    <row r="88" spans="2:9" ht="12.75">
      <c r="B88" s="77"/>
      <c r="C88" s="130" t="s">
        <v>59</v>
      </c>
      <c r="D88" s="96" t="s">
        <v>56</v>
      </c>
      <c r="E88" s="97"/>
      <c r="F88" s="97"/>
      <c r="G88" s="97"/>
      <c r="H88" s="97"/>
      <c r="I88" s="98"/>
    </row>
    <row r="89" spans="2:9" ht="12.75">
      <c r="B89" s="77"/>
      <c r="C89" s="130"/>
      <c r="D89" s="96" t="s">
        <v>57</v>
      </c>
      <c r="E89" s="97"/>
      <c r="F89" s="97"/>
      <c r="G89" s="97"/>
      <c r="H89" s="97"/>
      <c r="I89" s="98"/>
    </row>
    <row r="90" spans="2:8" ht="12.75">
      <c r="B90" s="77"/>
      <c r="D90" s="1"/>
      <c r="E90" s="1"/>
      <c r="F90" s="1"/>
      <c r="G90" s="1"/>
      <c r="H90" s="1"/>
    </row>
    <row r="91" spans="2:9" ht="12.75">
      <c r="B91" s="77"/>
      <c r="C91" s="130" t="s">
        <v>58</v>
      </c>
      <c r="D91" s="96" t="s">
        <v>60</v>
      </c>
      <c r="E91" s="96"/>
      <c r="F91" s="96"/>
      <c r="G91" s="96"/>
      <c r="H91" s="96"/>
      <c r="I91" s="99"/>
    </row>
    <row r="92" spans="2:9" ht="12.75">
      <c r="B92" s="77"/>
      <c r="C92" s="130"/>
      <c r="D92" s="131" t="s">
        <v>61</v>
      </c>
      <c r="E92" s="132"/>
      <c r="F92" s="132"/>
      <c r="G92" s="132"/>
      <c r="H92" s="132"/>
      <c r="I92" s="133"/>
    </row>
    <row r="93" spans="2:8" ht="12.75">
      <c r="B93" s="77"/>
      <c r="D93" s="1"/>
      <c r="E93" s="1"/>
      <c r="F93" s="1"/>
      <c r="G93" s="1"/>
      <c r="H93" s="1"/>
    </row>
    <row r="94" spans="2:9" ht="12.75">
      <c r="B94" s="77"/>
      <c r="C94" s="100" t="s">
        <v>62</v>
      </c>
      <c r="D94" s="134" t="s">
        <v>63</v>
      </c>
      <c r="E94" s="135"/>
      <c r="F94" s="135"/>
      <c r="G94" s="135"/>
      <c r="H94" s="135"/>
      <c r="I94" s="136"/>
    </row>
    <row r="95" spans="2:8" ht="12.75">
      <c r="B95" s="77"/>
      <c r="D95" s="1"/>
      <c r="E95" s="1"/>
      <c r="F95" s="1"/>
      <c r="G95" s="1"/>
      <c r="H95" s="1"/>
    </row>
    <row r="96" spans="2:11" ht="12.75">
      <c r="B96" s="77"/>
      <c r="C96" s="130" t="s">
        <v>64</v>
      </c>
      <c r="D96" s="97" t="s">
        <v>65</v>
      </c>
      <c r="E96" s="101"/>
      <c r="F96" s="102"/>
      <c r="G96" s="102"/>
      <c r="H96" s="102"/>
      <c r="I96" s="102"/>
      <c r="J96" s="102"/>
      <c r="K96" s="103"/>
    </row>
    <row r="97" spans="2:11" ht="12.75">
      <c r="B97" s="78"/>
      <c r="C97" s="130"/>
      <c r="D97" s="134" t="s">
        <v>66</v>
      </c>
      <c r="E97" s="135"/>
      <c r="F97" s="135"/>
      <c r="G97" s="135"/>
      <c r="H97" s="135"/>
      <c r="I97" s="135"/>
      <c r="J97" s="135"/>
      <c r="K97" s="136"/>
    </row>
    <row r="98" spans="2:11" ht="12.75">
      <c r="B98" s="78"/>
      <c r="C98" s="130"/>
      <c r="D98" s="97" t="s">
        <v>67</v>
      </c>
      <c r="E98" s="97"/>
      <c r="F98" s="97"/>
      <c r="G98" s="97"/>
      <c r="H98" s="97"/>
      <c r="I98" s="98"/>
      <c r="J98" s="98"/>
      <c r="K98" s="98"/>
    </row>
    <row r="99" spans="2:8" ht="12.75">
      <c r="B99" s="77"/>
      <c r="D99" s="1"/>
      <c r="E99" s="1"/>
      <c r="F99" s="1"/>
      <c r="G99" s="1"/>
      <c r="H99" s="1"/>
    </row>
    <row r="100" spans="3:14" ht="12.75">
      <c r="C100" s="100" t="s">
        <v>76</v>
      </c>
      <c r="D100" s="97" t="s">
        <v>72</v>
      </c>
      <c r="E100" s="97"/>
      <c r="F100" s="97"/>
      <c r="G100" s="97"/>
      <c r="H100" s="97"/>
      <c r="I100" s="98"/>
      <c r="J100" s="98"/>
      <c r="K100" s="98"/>
      <c r="L100" s="98"/>
      <c r="M100" s="98"/>
      <c r="N100" s="98"/>
    </row>
    <row r="101" spans="3:14" ht="12.75">
      <c r="C101" s="104"/>
      <c r="D101" s="105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</row>
    <row r="102" spans="3:14" ht="12.75">
      <c r="C102" s="100" t="s">
        <v>89</v>
      </c>
      <c r="D102" s="137" t="s">
        <v>90</v>
      </c>
      <c r="E102" s="137"/>
      <c r="F102" s="137"/>
      <c r="G102" s="137"/>
      <c r="H102" s="137"/>
      <c r="I102" s="137"/>
      <c r="J102" s="137"/>
      <c r="K102" s="106"/>
      <c r="L102" s="106"/>
      <c r="M102" s="106"/>
      <c r="N102" s="106"/>
    </row>
    <row r="103" spans="3:14" ht="12.75">
      <c r="C103" s="109"/>
      <c r="D103" s="105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</row>
    <row r="104" spans="3:14" ht="12.75">
      <c r="C104" s="100" t="s">
        <v>73</v>
      </c>
      <c r="D104" s="97" t="s">
        <v>74</v>
      </c>
      <c r="E104" s="97"/>
      <c r="F104" s="97"/>
      <c r="G104" s="97"/>
      <c r="H104" s="97"/>
      <c r="I104" s="98"/>
      <c r="J104" s="98"/>
      <c r="K104" s="98"/>
      <c r="L104" s="98"/>
      <c r="M104" s="98"/>
      <c r="N104" s="98"/>
    </row>
    <row r="105" spans="3:14" ht="12.75">
      <c r="C105" s="104"/>
      <c r="D105" s="105"/>
      <c r="E105" s="105"/>
      <c r="F105" s="105"/>
      <c r="G105" s="105"/>
      <c r="H105" s="105"/>
      <c r="I105" s="106"/>
      <c r="J105" s="106"/>
      <c r="K105" s="106"/>
      <c r="L105" s="106"/>
      <c r="M105" s="106"/>
      <c r="N105" s="106"/>
    </row>
    <row r="106" spans="3:10" ht="12.75">
      <c r="C106" s="100" t="s">
        <v>75</v>
      </c>
      <c r="D106" s="97" t="s">
        <v>77</v>
      </c>
      <c r="E106" s="97"/>
      <c r="F106" s="97"/>
      <c r="G106" s="97"/>
      <c r="H106" s="97"/>
      <c r="I106" s="98"/>
      <c r="J106" s="98"/>
    </row>
    <row r="107" spans="3:10" ht="12.75">
      <c r="C107" s="100" t="s">
        <v>80</v>
      </c>
      <c r="D107" s="134" t="s">
        <v>78</v>
      </c>
      <c r="E107" s="135"/>
      <c r="F107" s="135"/>
      <c r="G107" s="135"/>
      <c r="H107" s="135"/>
      <c r="I107" s="135"/>
      <c r="J107" s="136"/>
    </row>
    <row r="108" spans="3:10" ht="12.75">
      <c r="C108" s="104"/>
      <c r="D108" s="105"/>
      <c r="E108" s="105"/>
      <c r="F108" s="105"/>
      <c r="G108" s="105"/>
      <c r="H108" s="105"/>
      <c r="I108" s="106"/>
      <c r="J108" s="106"/>
    </row>
    <row r="109" spans="3:10" ht="12.75">
      <c r="C109" s="138" t="s">
        <v>79</v>
      </c>
      <c r="D109" s="134" t="s">
        <v>81</v>
      </c>
      <c r="E109" s="135"/>
      <c r="F109" s="135"/>
      <c r="G109" s="135"/>
      <c r="H109" s="135"/>
      <c r="I109" s="135"/>
      <c r="J109" s="136"/>
    </row>
    <row r="110" spans="3:10" ht="12.75">
      <c r="C110" s="139"/>
      <c r="D110" s="137" t="s">
        <v>82</v>
      </c>
      <c r="E110" s="137"/>
      <c r="F110" s="137"/>
      <c r="G110" s="137"/>
      <c r="H110" s="137"/>
      <c r="I110" s="137"/>
      <c r="J110" s="137"/>
    </row>
    <row r="111" spans="3:10" ht="12.75">
      <c r="C111" s="107"/>
      <c r="D111" s="108"/>
      <c r="E111" s="108"/>
      <c r="F111" s="108"/>
      <c r="G111" s="108"/>
      <c r="H111" s="108"/>
      <c r="I111" s="108"/>
      <c r="J111" s="108"/>
    </row>
    <row r="112" spans="3:10" ht="12.75">
      <c r="C112" s="138" t="s">
        <v>83</v>
      </c>
      <c r="D112" s="134" t="s">
        <v>84</v>
      </c>
      <c r="E112" s="135"/>
      <c r="F112" s="135"/>
      <c r="G112" s="135"/>
      <c r="H112" s="135"/>
      <c r="I112" s="135"/>
      <c r="J112" s="136"/>
    </row>
    <row r="113" spans="3:10" ht="12.75">
      <c r="C113" s="139"/>
      <c r="D113" s="134" t="s">
        <v>85</v>
      </c>
      <c r="E113" s="135"/>
      <c r="F113" s="135"/>
      <c r="G113" s="135"/>
      <c r="H113" s="135"/>
      <c r="I113" s="135"/>
      <c r="J113" s="136"/>
    </row>
    <row r="114" spans="3:10" ht="12.75">
      <c r="C114" s="107"/>
      <c r="D114" s="108"/>
      <c r="E114" s="108"/>
      <c r="F114" s="108"/>
      <c r="G114" s="108"/>
      <c r="H114" s="108"/>
      <c r="I114" s="108"/>
      <c r="J114" s="108"/>
    </row>
    <row r="115" spans="3:10" ht="12.75">
      <c r="C115" s="140" t="s">
        <v>86</v>
      </c>
      <c r="D115" s="134" t="s">
        <v>87</v>
      </c>
      <c r="E115" s="135"/>
      <c r="F115" s="135"/>
      <c r="G115" s="135"/>
      <c r="H115" s="135"/>
      <c r="I115" s="135"/>
      <c r="J115" s="136"/>
    </row>
    <row r="116" spans="3:10" ht="12.75">
      <c r="C116" s="140"/>
      <c r="D116" s="134" t="s">
        <v>88</v>
      </c>
      <c r="E116" s="135"/>
      <c r="F116" s="135"/>
      <c r="G116" s="135"/>
      <c r="H116" s="135"/>
      <c r="I116" s="135"/>
      <c r="J116" s="136"/>
    </row>
  </sheetData>
  <sheetProtection/>
  <mergeCells count="19">
    <mergeCell ref="C112:C113"/>
    <mergeCell ref="D112:J112"/>
    <mergeCell ref="D113:J113"/>
    <mergeCell ref="C115:C116"/>
    <mergeCell ref="D115:J115"/>
    <mergeCell ref="D116:J116"/>
    <mergeCell ref="C96:C98"/>
    <mergeCell ref="D97:K97"/>
    <mergeCell ref="D102:J102"/>
    <mergeCell ref="D107:J107"/>
    <mergeCell ref="C109:C110"/>
    <mergeCell ref="D109:J109"/>
    <mergeCell ref="D110:J110"/>
    <mergeCell ref="B5:I5"/>
    <mergeCell ref="C85:C86"/>
    <mergeCell ref="C88:C89"/>
    <mergeCell ref="C91:C92"/>
    <mergeCell ref="D92:I92"/>
    <mergeCell ref="D94:I94"/>
  </mergeCells>
  <hyperlinks>
    <hyperlink ref="D92" r:id="rId1" display="https://www.sefanet.pr.gov.br/dados/SEFADOCUMENTOS/101202100135.pdf"/>
  </hyperlinks>
  <printOptions/>
  <pageMargins left="0.511811024" right="0.511811024" top="0.787401575" bottom="0.787401575" header="0.31496062" footer="0.31496062"/>
  <pageSetup fitToHeight="1" fitToWidth="1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2023-03-13T17:29:23Z</cp:lastPrinted>
  <dcterms:created xsi:type="dcterms:W3CDTF">2018-01-29T18:21:25Z</dcterms:created>
  <dcterms:modified xsi:type="dcterms:W3CDTF">2023-03-13T17:40:39Z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